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9"/>
  <workbookPr filterPrivacy="1"/>
  <xr:revisionPtr revIDLastSave="0" documentId="13_ncr:1_{49C4CB9F-93BA-5C4D-87E7-6EC8C9FE188D}" xr6:coauthVersionLast="40" xr6:coauthVersionMax="40" xr10:uidLastSave="{00000000-0000-0000-0000-000000000000}"/>
  <bookViews>
    <workbookView xWindow="600" yWindow="840" windowWidth="20740" windowHeight="11160" xr2:uid="{00000000-000D-0000-FFFF-FFFF00000000}"/>
  </bookViews>
  <sheets>
    <sheet name="гибриды" sheetId="1" r:id="rId1"/>
    <sheet name="междуряд" sheetId="2" r:id="rId2"/>
    <sheet name="инсект-фунг" sheetId="3" r:id="rId3"/>
    <sheet name="август" sheetId="4" r:id="rId4"/>
    <sheet name="сульфат кальция" sheetId="5" r:id="rId5"/>
    <sheet name="сульфат аммония" sheetId="6" r:id="rId6"/>
    <sheet name="комплемет-зерно" sheetId="7" r:id="rId7"/>
    <sheet name="комплемет-кук" sheetId="8" r:id="rId8"/>
  </sheets>
  <definedNames>
    <definedName name="_xlnm.Print_Area" localSheetId="5">'сульфат аммония'!$A$1:$E$12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4" i="8" l="1"/>
  <c r="E4" i="8"/>
  <c r="G4" i="8" s="1"/>
  <c r="E3" i="8"/>
  <c r="G4" i="7"/>
  <c r="F3" i="7"/>
  <c r="F4" i="7"/>
  <c r="H4" i="7" l="1"/>
  <c r="F3" i="4" l="1"/>
  <c r="F10" i="4"/>
  <c r="G10" i="4" s="1"/>
  <c r="F7" i="4"/>
  <c r="G7" i="4" s="1"/>
  <c r="F5" i="4"/>
  <c r="G5" i="4" s="1"/>
  <c r="D6" i="6"/>
  <c r="E6" i="6" s="1"/>
  <c r="E10" i="6" l="1"/>
  <c r="B11" i="6"/>
  <c r="E11" i="6" s="1"/>
  <c r="E4" i="6" s="1"/>
  <c r="D4" i="5"/>
  <c r="D3" i="5"/>
  <c r="D9" i="5"/>
  <c r="D8" i="5"/>
  <c r="H9" i="3"/>
  <c r="H4" i="3"/>
  <c r="I4" i="2"/>
  <c r="B4" i="2"/>
  <c r="D4" i="2" s="1"/>
  <c r="E4" i="2" s="1"/>
  <c r="B3" i="2"/>
  <c r="D3" i="2" s="1"/>
  <c r="E3" i="2" s="1"/>
  <c r="J4" i="2" s="1"/>
</calcChain>
</file>

<file path=xl/sharedStrings.xml><?xml version="1.0" encoding="utf-8"?>
<sst xmlns="http://schemas.openxmlformats.org/spreadsheetml/2006/main" count="178" uniqueCount="129">
  <si>
    <t>DKC 3151</t>
  </si>
  <si>
    <t>DKC 3361</t>
  </si>
  <si>
    <t>DKC 3623</t>
  </si>
  <si>
    <t>DKC 3705</t>
  </si>
  <si>
    <t>DKC 3730</t>
  </si>
  <si>
    <t>DKC 3939</t>
  </si>
  <si>
    <t>DKC 4014</t>
  </si>
  <si>
    <t>Адевей</t>
  </si>
  <si>
    <t>ФАО</t>
  </si>
  <si>
    <t>Урожайность в зачете, т/га</t>
  </si>
  <si>
    <t>Гибрид</t>
  </si>
  <si>
    <t>Среднее</t>
  </si>
  <si>
    <t>Урожайность гибридов кукурузы в производстве АО Артель 2018 г</t>
  </si>
  <si>
    <t>Вариант</t>
  </si>
  <si>
    <t>Площадь, га</t>
  </si>
  <si>
    <t>Вес бункера</t>
  </si>
  <si>
    <t>Урожайность бункер, т/га</t>
  </si>
  <si>
    <t>Урожайность зачет, т/га</t>
  </si>
  <si>
    <t>Влажность, %</t>
  </si>
  <si>
    <t>Белок, %</t>
  </si>
  <si>
    <t>Крахмал, %</t>
  </si>
  <si>
    <t>Стоимость обработки, тыс.руб.</t>
  </si>
  <si>
    <t>Условно-чистая прибыль, тыс. руб.</t>
  </si>
  <si>
    <t>Контроль</t>
  </si>
  <si>
    <t>КАС 100 л в почву</t>
  </si>
  <si>
    <t>Цена зерна, руб/кг</t>
  </si>
  <si>
    <t>Цена кас, руб/кг</t>
  </si>
  <si>
    <t>Влияние подкормки КАС совместно с междурядной обработкой кукурузы в фазу 7 листьев</t>
  </si>
  <si>
    <t xml:space="preserve">Норма расхода препарата </t>
  </si>
  <si>
    <t>Номер поля</t>
  </si>
  <si>
    <t>Валовый сбор, т</t>
  </si>
  <si>
    <t>Урожайность ц/га</t>
  </si>
  <si>
    <t xml:space="preserve">Влажность, % </t>
  </si>
  <si>
    <t>опыт</t>
  </si>
  <si>
    <t>Прозаро 1л/га</t>
  </si>
  <si>
    <t>Децис эксперт 0,15 л/га</t>
  </si>
  <si>
    <t>6019/65</t>
  </si>
  <si>
    <t>6017/205</t>
  </si>
  <si>
    <t>6025/149</t>
  </si>
  <si>
    <t>контроль</t>
  </si>
  <si>
    <t>Без обработки</t>
  </si>
  <si>
    <t>6028/53</t>
  </si>
  <si>
    <t>6026/17</t>
  </si>
  <si>
    <t>6018/125</t>
  </si>
  <si>
    <t>6018/1/120</t>
  </si>
  <si>
    <t>Зачетная урожайность, ц/га</t>
  </si>
  <si>
    <t>Влияние инсектицидно-фунгицидной обработки на урожайность кукурузы</t>
  </si>
  <si>
    <t>Средневзвешенная урожайность</t>
  </si>
  <si>
    <t>Варианты опыта</t>
  </si>
  <si>
    <t>Урожайность, ц/га</t>
  </si>
  <si>
    <t>Прозаро</t>
  </si>
  <si>
    <t>1 л/га</t>
  </si>
  <si>
    <t>0,3 л/га</t>
  </si>
  <si>
    <t>Борей</t>
  </si>
  <si>
    <t>150 гр/га</t>
  </si>
  <si>
    <t>Брейк</t>
  </si>
  <si>
    <t>100 гр/га</t>
  </si>
  <si>
    <t>0,32 л/га</t>
  </si>
  <si>
    <t>шарпей</t>
  </si>
  <si>
    <t>Амплиго сист</t>
  </si>
  <si>
    <t>Шарпей конт</t>
  </si>
  <si>
    <t>Сульфат кальция</t>
  </si>
  <si>
    <t>Влияние сульфата кальция (350 кг/га) на урожайность кукурузы при предпосевном внесении (поле 3114/1/113)</t>
  </si>
  <si>
    <t>Валовой сбор, т</t>
  </si>
  <si>
    <t>Влияние сульфата кальция (350 кг/га) на урожайность кукурузы при предпосевном внесении  (поле 2027/4/40)</t>
  </si>
  <si>
    <t>Результаты опытов по внесению сульфат аммония на посевах кукурузы,  поле 2032/99</t>
  </si>
  <si>
    <t>Сульфат аммония</t>
  </si>
  <si>
    <t>КАС</t>
  </si>
  <si>
    <t>Ам селитра</t>
  </si>
  <si>
    <t>фон весной</t>
  </si>
  <si>
    <t>Норма, кг/га</t>
  </si>
  <si>
    <t>Азота, %</t>
  </si>
  <si>
    <t>Цена</t>
  </si>
  <si>
    <t>Сульфат аммония 324 кг/га</t>
  </si>
  <si>
    <t>Контроль ам селитра 200 кг/га</t>
  </si>
  <si>
    <t>кукуруза</t>
  </si>
  <si>
    <t>Условная прибыль , руб/га</t>
  </si>
  <si>
    <t>в пределах ошибки опыта</t>
  </si>
  <si>
    <t>прибавка</t>
  </si>
  <si>
    <t>Стоимость удобрения руб/га</t>
  </si>
  <si>
    <t>Стоимость препаратов, руб/га</t>
  </si>
  <si>
    <t>Амплиго</t>
  </si>
  <si>
    <t>Шарпей</t>
  </si>
  <si>
    <t>Цена за 1 л</t>
  </si>
  <si>
    <t>цена кукурузы</t>
  </si>
  <si>
    <t>Условно-добавочная прибыль руб на га</t>
  </si>
  <si>
    <t>Результаты опытов по внесению микроудобрений «Нтп-Синтез» (Республика Беларусь) на поле 3141/170 (ячмень)</t>
  </si>
  <si>
    <t>1 обработка</t>
  </si>
  <si>
    <t>2 обработка</t>
  </si>
  <si>
    <t>Гранстар 0,015 кг/га</t>
  </si>
  <si>
    <t>Дианат 0,2 л/га</t>
  </si>
  <si>
    <t>Фалькон 0,6 л/га</t>
  </si>
  <si>
    <t>Борей 0,1 л/га</t>
  </si>
  <si>
    <t>Прозаро 0,8 л/га</t>
  </si>
  <si>
    <t>Фоновая обработка</t>
  </si>
  <si>
    <t>Обработка семян</t>
  </si>
  <si>
    <t>Урожайность, тн/га</t>
  </si>
  <si>
    <t>Доп затраты на га, руб</t>
  </si>
  <si>
    <t>СОСТАВ «УДОБРЕНИЕ КОМПЛЕМЕТ-ЗЕРНО» (Г/Л)</t>
  </si>
  <si>
    <t>N</t>
  </si>
  <si>
    <r>
      <t>K</t>
    </r>
    <r>
      <rPr>
        <b/>
        <vertAlign val="subscript"/>
        <sz val="11"/>
        <color rgb="FFFFFFFF"/>
        <rFont val="Arial Narrow"/>
        <family val="2"/>
        <charset val="204"/>
      </rPr>
      <t>2</t>
    </r>
    <r>
      <rPr>
        <b/>
        <sz val="11"/>
        <color rgb="FFFFFFFF"/>
        <rFont val="Arial Narrow"/>
        <family val="2"/>
        <charset val="204"/>
      </rPr>
      <t>O</t>
    </r>
  </si>
  <si>
    <r>
      <t>P</t>
    </r>
    <r>
      <rPr>
        <b/>
        <vertAlign val="subscript"/>
        <sz val="11"/>
        <color rgb="FFFFFFFF"/>
        <rFont val="Arial Narrow"/>
        <family val="2"/>
        <charset val="204"/>
      </rPr>
      <t>2</t>
    </r>
    <r>
      <rPr>
        <b/>
        <sz val="11"/>
        <color rgb="FFFFFFFF"/>
        <rFont val="Arial Narrow"/>
        <family val="2"/>
        <charset val="204"/>
      </rPr>
      <t>O</t>
    </r>
    <r>
      <rPr>
        <b/>
        <vertAlign val="subscript"/>
        <sz val="11"/>
        <color rgb="FFFFFFFF"/>
        <rFont val="Arial Narrow"/>
        <family val="2"/>
        <charset val="204"/>
      </rPr>
      <t>5</t>
    </r>
  </si>
  <si>
    <t>S</t>
  </si>
  <si>
    <t>Zn</t>
  </si>
  <si>
    <t>Mn</t>
  </si>
  <si>
    <t>Cu</t>
  </si>
  <si>
    <t>B</t>
  </si>
  <si>
    <t>Mo</t>
  </si>
  <si>
    <t>Co</t>
  </si>
  <si>
    <r>
      <t>K</t>
    </r>
    <r>
      <rPr>
        <b/>
        <vertAlign val="subscript"/>
        <sz val="12"/>
        <color rgb="FFFFFFFF"/>
        <rFont val="Arial Narrow"/>
        <family val="2"/>
        <charset val="204"/>
      </rPr>
      <t>2</t>
    </r>
    <r>
      <rPr>
        <b/>
        <sz val="12"/>
        <color rgb="FFFFFFFF"/>
        <rFont val="Arial Narrow"/>
        <family val="2"/>
        <charset val="204"/>
      </rPr>
      <t>O</t>
    </r>
  </si>
  <si>
    <r>
      <t>P</t>
    </r>
    <r>
      <rPr>
        <b/>
        <vertAlign val="subscript"/>
        <sz val="12"/>
        <color rgb="FFFFFFFF"/>
        <rFont val="Arial Narrow"/>
        <family val="2"/>
        <charset val="204"/>
      </rPr>
      <t>2</t>
    </r>
    <r>
      <rPr>
        <b/>
        <sz val="12"/>
        <color rgb="FFFFFFFF"/>
        <rFont val="Arial Narrow"/>
        <family val="2"/>
        <charset val="204"/>
      </rPr>
      <t>O</t>
    </r>
    <r>
      <rPr>
        <b/>
        <vertAlign val="subscript"/>
        <sz val="12"/>
        <color rgb="FFFFFFFF"/>
        <rFont val="Arial Narrow"/>
        <family val="2"/>
        <charset val="204"/>
      </rPr>
      <t>5</t>
    </r>
  </si>
  <si>
    <t>КомплеМет-Зерно 2 л/тн</t>
  </si>
  <si>
    <t xml:space="preserve"> + КомлеМет-Зерно 2л/га</t>
  </si>
  <si>
    <t xml:space="preserve"> + КомлеМет-Зерно 2 л/га</t>
  </si>
  <si>
    <t>1 пестицидная обработка</t>
  </si>
  <si>
    <t>2 пестицидная обработка</t>
  </si>
  <si>
    <t>Ламадор 0,2 л/тн</t>
  </si>
  <si>
    <t>Нуприд  0,6 л/тн</t>
  </si>
  <si>
    <t>Результаты опытов по внесению удобрения «Комплемет» на посевых кукурузы,  поле 2027/1/385</t>
  </si>
  <si>
    <t>Прибыль от использования, руб/га</t>
  </si>
  <si>
    <t>СОСТАВ «УДОБРЕНИЕ КОМПЛЕМЕТ-КУКУРУЗА» (Г/Л)</t>
  </si>
  <si>
    <t>цена</t>
  </si>
  <si>
    <t>руб/л</t>
  </si>
  <si>
    <t>Норма внесения, л/га</t>
  </si>
  <si>
    <t>КомплеМет-кукуруза</t>
  </si>
  <si>
    <t>На уровне погрешности опыта!!!!</t>
  </si>
  <si>
    <t>Сложные NPK</t>
  </si>
  <si>
    <t>кг/га</t>
  </si>
  <si>
    <t>л/га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</si>
</sst>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₽_-;\-* #,##0.00\ _₽_-;_-* &quot;-&quot;??\ _₽_-;_-@_-"/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rgb="FFFFFFFF"/>
      <name val="Arial Narrow"/>
      <family val="2"/>
      <charset val="204"/>
    </font>
    <font>
      <b/>
      <vertAlign val="subscript"/>
      <sz val="11"/>
      <color rgb="FFFFFFFF"/>
      <name val="Arial Narrow"/>
      <family val="2"/>
      <charset val="204"/>
    </font>
    <font>
      <sz val="11"/>
      <color rgb="FF4C4C4C"/>
      <name val="Arial Narrow"/>
      <family val="2"/>
      <charset val="204"/>
    </font>
    <font>
      <b/>
      <sz val="12"/>
      <color rgb="FF60391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FFFFFF"/>
      <name val="Arial Narrow"/>
      <family val="2"/>
      <charset val="204"/>
    </font>
    <font>
      <b/>
      <vertAlign val="subscript"/>
      <sz val="12"/>
      <color rgb="FFFFFFFF"/>
      <name val="Arial Narrow"/>
      <family val="2"/>
      <charset val="204"/>
    </font>
    <font>
      <sz val="12"/>
      <color rgb="FF4C4C4C"/>
      <name val="Arial Narrow"/>
      <family val="2"/>
      <charset val="204"/>
    </font>
    <font>
      <b/>
      <sz val="14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0070C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D2FFD9"/>
        <bgColor indexed="64"/>
      </patternFill>
    </fill>
    <fill>
      <patternFill patternType="solid">
        <fgColor rgb="FF2D5A54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rgb="FF2D5A54"/>
      </left>
      <right style="medium">
        <color rgb="FF2D5A54"/>
      </right>
      <top style="medium">
        <color rgb="FF2D5A54"/>
      </top>
      <bottom style="medium">
        <color rgb="FF2D5A54"/>
      </bottom>
      <diagonal/>
    </border>
    <border>
      <left/>
      <right/>
      <top/>
      <bottom style="medium">
        <color rgb="FF2D5A5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7" xfId="0" applyBorder="1" applyAlignment="1">
      <alignment horizontal="left"/>
    </xf>
    <xf numFmtId="164" fontId="0" fillId="0" borderId="8" xfId="0" applyNumberFormat="1" applyBorder="1"/>
    <xf numFmtId="0" fontId="0" fillId="0" borderId="10" xfId="0" applyBorder="1"/>
    <xf numFmtId="0" fontId="0" fillId="0" borderId="4" xfId="0" applyBorder="1" applyAlignment="1">
      <alignment horizontal="left"/>
    </xf>
    <xf numFmtId="0" fontId="0" fillId="0" borderId="5" xfId="0" applyBorder="1"/>
    <xf numFmtId="164" fontId="0" fillId="0" borderId="6" xfId="0" applyNumberFormat="1" applyBorder="1"/>
    <xf numFmtId="0" fontId="0" fillId="0" borderId="9" xfId="0" applyBorder="1" applyAlignment="1">
      <alignment horizontal="left"/>
    </xf>
    <xf numFmtId="164" fontId="0" fillId="0" borderId="11" xfId="0" applyNumberForma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2" xfId="0" applyBorder="1"/>
    <xf numFmtId="40" fontId="0" fillId="0" borderId="13" xfId="1" applyNumberFormat="1" applyFont="1" applyBorder="1"/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/>
    <xf numFmtId="164" fontId="0" fillId="0" borderId="18" xfId="0" applyNumberFormat="1" applyBorder="1"/>
    <xf numFmtId="0" fontId="0" fillId="0" borderId="18" xfId="0" applyBorder="1"/>
    <xf numFmtId="40" fontId="0" fillId="0" borderId="19" xfId="1" applyNumberFormat="1" applyFont="1" applyBorder="1"/>
    <xf numFmtId="0" fontId="3" fillId="2" borderId="21" xfId="0" applyFont="1" applyFill="1" applyBorder="1"/>
    <xf numFmtId="0" fontId="2" fillId="2" borderId="21" xfId="0" applyFont="1" applyFill="1" applyBorder="1" applyAlignment="1">
      <alignment horizontal="left"/>
    </xf>
    <xf numFmtId="0" fontId="2" fillId="2" borderId="2" xfId="0" applyFont="1" applyFill="1" applyBorder="1"/>
    <xf numFmtId="164" fontId="2" fillId="3" borderId="20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29" xfId="0" applyBorder="1"/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0" fillId="4" borderId="26" xfId="0" applyFill="1" applyBorder="1" applyAlignment="1">
      <alignment vertical="top" wrapText="1"/>
    </xf>
    <xf numFmtId="9" fontId="0" fillId="0" borderId="0" xfId="2" applyFont="1"/>
    <xf numFmtId="0" fontId="0" fillId="4" borderId="29" xfId="0" applyFill="1" applyBorder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6" fillId="0" borderId="2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2" xfId="0" applyFont="1" applyBorder="1" applyAlignment="1">
      <alignment vertical="center" wrapText="1"/>
    </xf>
    <xf numFmtId="0" fontId="7" fillId="0" borderId="31" xfId="0" applyFont="1" applyBorder="1" applyAlignment="1">
      <alignment vertical="center" wrapText="1"/>
    </xf>
    <xf numFmtId="0" fontId="7" fillId="0" borderId="32" xfId="0" applyFont="1" applyBorder="1" applyAlignment="1">
      <alignment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1" fontId="7" fillId="0" borderId="35" xfId="0" applyNumberFormat="1" applyFont="1" applyBorder="1" applyAlignment="1">
      <alignment horizontal="center" vertical="center" wrapText="1"/>
    </xf>
    <xf numFmtId="1" fontId="7" fillId="0" borderId="36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1" fontId="7" fillId="0" borderId="33" xfId="0" applyNumberFormat="1" applyFont="1" applyBorder="1" applyAlignment="1">
      <alignment horizontal="center" vertical="center" wrapText="1"/>
    </xf>
    <xf numFmtId="1" fontId="7" fillId="0" borderId="3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/>
    </xf>
    <xf numFmtId="9" fontId="7" fillId="0" borderId="18" xfId="2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11" xfId="0" applyNumberFormat="1" applyBorder="1" applyAlignment="1">
      <alignment horizontal="center" vertical="center"/>
    </xf>
    <xf numFmtId="0" fontId="6" fillId="0" borderId="30" xfId="0" applyFont="1" applyBorder="1" applyAlignment="1">
      <alignment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10" fillId="6" borderId="48" xfId="0" applyFont="1" applyFill="1" applyBorder="1" applyAlignment="1">
      <alignment horizontal="left" vertical="center" wrapText="1"/>
    </xf>
    <xf numFmtId="0" fontId="12" fillId="5" borderId="48" xfId="0" applyFont="1" applyFill="1" applyBorder="1" applyAlignment="1">
      <alignment horizontal="left" vertical="center" wrapText="1"/>
    </xf>
    <xf numFmtId="0" fontId="14" fillId="0" borderId="0" xfId="0" applyFont="1"/>
    <xf numFmtId="0" fontId="15" fillId="6" borderId="48" xfId="0" applyFont="1" applyFill="1" applyBorder="1" applyAlignment="1">
      <alignment horizontal="left" vertical="center" wrapText="1"/>
    </xf>
    <xf numFmtId="0" fontId="17" fillId="5" borderId="48" xfId="0" applyFont="1" applyFill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0" fontId="0" fillId="0" borderId="6" xfId="0" applyBorder="1"/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center" vertical="center"/>
    </xf>
    <xf numFmtId="1" fontId="7" fillId="0" borderId="5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/>
    <xf numFmtId="0" fontId="7" fillId="4" borderId="30" xfId="0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" fontId="0" fillId="4" borderId="30" xfId="0" applyNumberFormat="1" applyFill="1" applyBorder="1" applyAlignment="1">
      <alignment horizontal="center" vertical="center"/>
    </xf>
    <xf numFmtId="1" fontId="0" fillId="4" borderId="28" xfId="0" applyNumberFormat="1" applyFill="1" applyBorder="1" applyAlignment="1">
      <alignment horizontal="center" vertical="center"/>
    </xf>
    <xf numFmtId="1" fontId="0" fillId="0" borderId="29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45" xfId="0" applyNumberFormat="1" applyBorder="1" applyAlignment="1">
      <alignment horizontal="center" vertical="center"/>
    </xf>
    <xf numFmtId="3" fontId="0" fillId="0" borderId="47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14" xfId="0" applyBorder="1"/>
    <xf numFmtId="0" fontId="6" fillId="0" borderId="50" xfId="0" applyFont="1" applyBorder="1" applyAlignment="1">
      <alignment horizontal="center" vertical="center"/>
    </xf>
    <xf numFmtId="0" fontId="13" fillId="0" borderId="49" xfId="0" applyFont="1" applyBorder="1" applyAlignment="1">
      <alignment horizontal="left" vertical="center"/>
    </xf>
    <xf numFmtId="0" fontId="8" fillId="0" borderId="5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0" fillId="0" borderId="0" xfId="0" applyBorder="1"/>
    <xf numFmtId="0" fontId="15" fillId="0" borderId="0" xfId="0" applyFont="1" applyFill="1" applyBorder="1" applyAlignment="1">
      <alignment horizontal="left"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0" fillId="0" borderId="15" xfId="0" applyBorder="1"/>
    <xf numFmtId="0" fontId="7" fillId="0" borderId="1" xfId="0" applyFont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34" xfId="0" applyFont="1" applyBorder="1" applyAlignment="1">
      <alignment vertical="center" wrapText="1"/>
    </xf>
    <xf numFmtId="0" fontId="7" fillId="0" borderId="52" xfId="0" applyFont="1" applyBorder="1" applyAlignment="1">
      <alignment vertical="center" wrapText="1"/>
    </xf>
    <xf numFmtId="0" fontId="7" fillId="0" borderId="53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3" fontId="0" fillId="0" borderId="33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1" xfId="0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27">
    <dxf>
      <numFmt numFmtId="164" formatCode="0.0"/>
      <alignment horizontal="center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alignment horizontal="general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family val="2"/>
        <charset val="204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8" formatCode="#,##0.00\ _₽;[Red]\-#,##0.00\ _₽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4" formatCode="0.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bottom style="thin">
          <color auto="1"/>
        </bottom>
      </border>
    </dxf>
    <dxf>
      <alignment horizontal="center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numFmt numFmtId="164" formatCode="0.0"/>
      <border diagonalUp="0" diagonalDown="0">
        <left style="thin">
          <color auto="1"/>
        </left>
        <right/>
        <top style="thin">
          <color auto="1"/>
        </top>
        <bottom style="medium">
          <color indexed="64"/>
        </bottom>
        <vertical/>
        <horizontal/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medium">
          <color indexed="64"/>
        </bottom>
        <vertical/>
        <horizontal/>
      </border>
    </dxf>
    <dxf>
      <alignment horizontal="left" vertical="bottom" textRotation="0" wrapText="0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ill>
        <patternFill patternType="solid">
          <bgColor rgb="FF0070C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2174CB3-483C-4C56-8897-E83413565F5D}" name="Таблица2" displayName="Таблица2" ref="A2:C11" totalsRowShown="0" headerRowDxfId="26" tableBorderDxfId="25">
  <autoFilter ref="A2:C11" xr:uid="{AB0D9FC4-EF4A-460F-886C-6D68B2E433E4}"/>
  <sortState ref="A3:C10">
    <sortCondition descending="1" ref="C3:C10"/>
  </sortState>
  <tableColumns count="3">
    <tableColumn id="1" xr3:uid="{81083F98-083E-4635-AADD-C3346E68A79C}" name="Гибрид" dataDxfId="24"/>
    <tableColumn id="2" xr3:uid="{961335E7-C77E-4419-A1DA-02710B9A479E}" name="ФАО" dataDxfId="23"/>
    <tableColumn id="3" xr3:uid="{80C3553D-0F13-4057-95A7-25C5CBBD76DE}" name="Урожайность в зачете, т/га" dataDxfId="2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0EE2ADA-CE59-4780-BD4D-8CE2D10DA33F}" name="Таблица1" displayName="Таблица1" ref="A2:J4" totalsRowShown="0" headerRowDxfId="21" headerRowBorderDxfId="20" tableBorderDxfId="19" totalsRowBorderDxfId="18">
  <autoFilter ref="A2:J4" xr:uid="{71ACA190-7F33-48F2-A342-C3E7BD6EAFFE}"/>
  <tableColumns count="10">
    <tableColumn id="1" xr3:uid="{CB8624B2-FA10-493B-B2C2-18DA29A73CD3}" name="Вариант" dataDxfId="17"/>
    <tableColumn id="2" xr3:uid="{A2A37FB0-9A16-449E-920F-498441AAA780}" name="Площадь, га" dataDxfId="16">
      <calculatedColumnFormula>0.7*8*397/10000</calculatedColumnFormula>
    </tableColumn>
    <tableColumn id="3" xr3:uid="{314E8F79-F95E-4D50-9C00-9B7469D0B9B2}" name="Вес бункера" dataDxfId="15"/>
    <tableColumn id="4" xr3:uid="{B9A4697E-F15B-464D-9C55-3FEC7C7D3DBC}" name="Урожайность бункер, т/га" dataDxfId="14">
      <calculatedColumnFormula>C3/B3/1000</calculatedColumnFormula>
    </tableColumn>
    <tableColumn id="5" xr3:uid="{40908C49-12D9-4142-B5B1-5973A24C030B}" name="Урожайность зачет, т/га" dataDxfId="13">
      <calculatedColumnFormula>D3-D3*(F3-14)/(100-14)</calculatedColumnFormula>
    </tableColumn>
    <tableColumn id="6" xr3:uid="{1D8CBA3C-06A0-4A5C-90E5-BCCB5840588F}" name="Влажность, %" dataDxfId="12"/>
    <tableColumn id="7" xr3:uid="{9FD738F9-569E-4ECE-94DC-6B2C9599412F}" name="Белок, %"/>
    <tableColumn id="8" xr3:uid="{22B2062D-EC4C-4D17-BA94-AFD9B2CE6090}" name="Крахмал, %" dataDxfId="11"/>
    <tableColumn id="9" xr3:uid="{A76E04E9-5DD6-47D5-9386-ED5254C55BCE}" name="Стоимость обработки, тыс.руб.">
      <calculatedColumnFormula>100*1.32*E6/1000</calculatedColumnFormula>
    </tableColumn>
    <tableColumn id="10" xr3:uid="{53FDCA67-3F09-4872-8BE9-22738D9839E7}" name="Условно-чистая прибыль, тыс. руб." dataDxfId="10" dataCellStyle="Финансовый">
      <calculatedColumnFormula>(E3-E2)*E5-I3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1F807B4-FCD7-4C53-8DE2-A954BCF1FF99}" name="Таблица3" displayName="Таблица3" ref="A3:E6" totalsRowShown="0" headerRowDxfId="9" dataDxfId="7" headerRowBorderDxfId="8" tableBorderDxfId="6" totalsRowBorderDxfId="5">
  <autoFilter ref="A3:E6" xr:uid="{8D9D96BD-9426-447C-8C95-029B52C8D17F}"/>
  <tableColumns count="5">
    <tableColumn id="1" xr3:uid="{877F7B4D-15AA-4978-81CA-4D03AFE52958}" name="Варианты опыта" dataDxfId="4"/>
    <tableColumn id="2" xr3:uid="{4718585E-3B2B-4422-A425-A4FA5D4D448C}" name="Площадь, га" dataDxfId="3"/>
    <tableColumn id="3" xr3:uid="{CB9BC10F-00A9-416A-B91D-8AE2BA0A780B}" name="Валовой сбор, т" dataDxfId="2"/>
    <tableColumn id="4" xr3:uid="{53E34E3B-297D-4C63-B427-B8FF0210721E}" name="Урожайность, ц/га" dataDxfId="1"/>
    <tableColumn id="5" xr3:uid="{9E9C3E82-D95D-4DBB-973C-644137709378}" name="Условная прибыль , руб/га" dataDxfId="0">
      <calculatedColumnFormula>D12*(D4-D5)/10-(E11-E10)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1"/>
  <sheetViews>
    <sheetView tabSelected="1" workbookViewId="0">
      <selection activeCell="D22" sqref="D22"/>
    </sheetView>
  </sheetViews>
  <sheetFormatPr baseColWidth="10" defaultColWidth="8.83203125" defaultRowHeight="15" x14ac:dyDescent="0.2"/>
  <cols>
    <col min="1" max="1" width="16.33203125" customWidth="1"/>
    <col min="2" max="2" width="17.6640625" customWidth="1"/>
    <col min="3" max="3" width="28.83203125" customWidth="1"/>
  </cols>
  <sheetData>
    <row r="1" spans="1:3" x14ac:dyDescent="0.2">
      <c r="A1" s="12" t="s">
        <v>12</v>
      </c>
    </row>
    <row r="2" spans="1:3" s="11" customFormat="1" ht="16" thickBot="1" x14ac:dyDescent="0.25">
      <c r="A2" s="23" t="s">
        <v>10</v>
      </c>
      <c r="B2" s="61" t="s">
        <v>8</v>
      </c>
      <c r="C2" s="62" t="s">
        <v>9</v>
      </c>
    </row>
    <row r="3" spans="1:3" x14ac:dyDescent="0.2">
      <c r="A3" s="6" t="s">
        <v>0</v>
      </c>
      <c r="B3" s="7">
        <v>180</v>
      </c>
      <c r="C3" s="8">
        <v>10.369019508762948</v>
      </c>
    </row>
    <row r="4" spans="1:3" x14ac:dyDescent="0.2">
      <c r="A4" s="3" t="s">
        <v>6</v>
      </c>
      <c r="B4" s="1">
        <v>340</v>
      </c>
      <c r="C4" s="4">
        <v>10.163456372268648</v>
      </c>
    </row>
    <row r="5" spans="1:3" x14ac:dyDescent="0.2">
      <c r="A5" s="3" t="s">
        <v>5</v>
      </c>
      <c r="B5" s="1">
        <v>320</v>
      </c>
      <c r="C5" s="4">
        <v>10.039643083920202</v>
      </c>
    </row>
    <row r="6" spans="1:3" x14ac:dyDescent="0.2">
      <c r="A6" s="3" t="s">
        <v>2</v>
      </c>
      <c r="B6" s="1">
        <v>270</v>
      </c>
      <c r="C6" s="4">
        <v>9.8541964897767027</v>
      </c>
    </row>
    <row r="7" spans="1:3" x14ac:dyDescent="0.2">
      <c r="A7" s="3" t="s">
        <v>3</v>
      </c>
      <c r="B7" s="1">
        <v>300</v>
      </c>
      <c r="C7" s="4">
        <v>9.5102049362259162</v>
      </c>
    </row>
    <row r="8" spans="1:3" x14ac:dyDescent="0.2">
      <c r="A8" s="3" t="s">
        <v>7</v>
      </c>
      <c r="B8" s="1">
        <v>290</v>
      </c>
      <c r="C8" s="4">
        <v>9.0945647938514131</v>
      </c>
    </row>
    <row r="9" spans="1:3" x14ac:dyDescent="0.2">
      <c r="A9" s="3" t="s">
        <v>4</v>
      </c>
      <c r="B9" s="1">
        <v>280</v>
      </c>
      <c r="C9" s="4">
        <v>8.8653036728156493</v>
      </c>
    </row>
    <row r="10" spans="1:3" s="11" customFormat="1" ht="16" thickBot="1" x14ac:dyDescent="0.25">
      <c r="A10" s="9" t="s">
        <v>1</v>
      </c>
      <c r="B10" s="5">
        <v>240</v>
      </c>
      <c r="C10" s="10">
        <v>8.4261609800472037</v>
      </c>
    </row>
    <row r="11" spans="1:3" x14ac:dyDescent="0.2">
      <c r="A11" s="24" t="s">
        <v>11</v>
      </c>
      <c r="B11" s="25"/>
      <c r="C11" s="26">
        <v>9.7346676955157214</v>
      </c>
    </row>
  </sheetData>
  <pageMargins left="0.7" right="0.7" top="0.75" bottom="0.75" header="0.3" footer="0.3"/>
  <pageSetup paperSize="9" orientation="landscape" horizontalDpi="0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F39D8-FA4B-42D2-A27D-DF9E6A5723E9}">
  <dimension ref="A1:J7"/>
  <sheetViews>
    <sheetView workbookViewId="0">
      <selection activeCell="E12" sqref="E12"/>
    </sheetView>
  </sheetViews>
  <sheetFormatPr baseColWidth="10" defaultColWidth="8.83203125" defaultRowHeight="15" x14ac:dyDescent="0.2"/>
  <cols>
    <col min="1" max="1" width="16.83203125" customWidth="1"/>
    <col min="2" max="2" width="6.83203125" customWidth="1"/>
    <col min="3" max="3" width="8.5" customWidth="1"/>
    <col min="4" max="4" width="13" customWidth="1"/>
    <col min="5" max="5" width="14" customWidth="1"/>
    <col min="6" max="6" width="12.1640625" customWidth="1"/>
    <col min="7" max="7" width="7" customWidth="1"/>
    <col min="8" max="8" width="10.33203125" customWidth="1"/>
    <col min="9" max="9" width="12.1640625" customWidth="1"/>
    <col min="10" max="10" width="10.5" customWidth="1"/>
  </cols>
  <sheetData>
    <row r="1" spans="1:10" x14ac:dyDescent="0.2">
      <c r="A1" s="12" t="s">
        <v>27</v>
      </c>
    </row>
    <row r="2" spans="1:10" ht="64" x14ac:dyDescent="0.2">
      <c r="A2" s="16" t="s">
        <v>13</v>
      </c>
      <c r="B2" s="17" t="s">
        <v>14</v>
      </c>
      <c r="C2" s="17" t="s">
        <v>15</v>
      </c>
      <c r="D2" s="17" t="s">
        <v>16</v>
      </c>
      <c r="E2" s="17" t="s">
        <v>17</v>
      </c>
      <c r="F2" s="17" t="s">
        <v>18</v>
      </c>
      <c r="G2" s="17" t="s">
        <v>19</v>
      </c>
      <c r="H2" s="17" t="s">
        <v>20</v>
      </c>
      <c r="I2" s="17" t="s">
        <v>21</v>
      </c>
      <c r="J2" s="18" t="s">
        <v>22</v>
      </c>
    </row>
    <row r="3" spans="1:10" x14ac:dyDescent="0.2">
      <c r="A3" s="14" t="s">
        <v>23</v>
      </c>
      <c r="B3" s="2">
        <f>0.7*8*397/10000</f>
        <v>0.22231999999999999</v>
      </c>
      <c r="C3" s="1">
        <v>1480</v>
      </c>
      <c r="D3" s="2">
        <f>C3/B3/1000</f>
        <v>6.6570708888089252</v>
      </c>
      <c r="E3" s="2">
        <f>D3-D3*(F3-14)/(100-14)</f>
        <v>5.9526598994117013</v>
      </c>
      <c r="F3" s="1">
        <v>23.1</v>
      </c>
      <c r="G3" s="1">
        <v>7.4</v>
      </c>
      <c r="H3" s="1">
        <v>72.5</v>
      </c>
      <c r="I3" s="1">
        <v>0</v>
      </c>
      <c r="J3" s="15"/>
    </row>
    <row r="4" spans="1:10" x14ac:dyDescent="0.2">
      <c r="A4" s="19" t="s">
        <v>24</v>
      </c>
      <c r="B4" s="20">
        <f>0.7*8*397/10000</f>
        <v>0.22231999999999999</v>
      </c>
      <c r="C4" s="21">
        <v>2280</v>
      </c>
      <c r="D4" s="20">
        <f>C4/B4/1000</f>
        <v>10.255487585462397</v>
      </c>
      <c r="E4" s="20">
        <f t="shared" ref="E4" si="0">D4-D4*(F4-14)/(100-14)</f>
        <v>8.7171644476430377</v>
      </c>
      <c r="F4" s="21">
        <v>26.9</v>
      </c>
      <c r="G4" s="20">
        <v>7</v>
      </c>
      <c r="H4" s="21">
        <v>71.7</v>
      </c>
      <c r="I4" s="21">
        <f>100*1.32*E7/1000</f>
        <v>2.2440000000000002</v>
      </c>
      <c r="J4" s="22">
        <f>(E4-E3)*E6-I4</f>
        <v>22.636540934082028</v>
      </c>
    </row>
    <row r="6" spans="1:10" s="13" customFormat="1" x14ac:dyDescent="0.2">
      <c r="A6" s="13" t="s">
        <v>25</v>
      </c>
      <c r="E6" s="13">
        <v>9</v>
      </c>
    </row>
    <row r="7" spans="1:10" s="13" customFormat="1" x14ac:dyDescent="0.2">
      <c r="A7" s="13" t="s">
        <v>26</v>
      </c>
      <c r="E7" s="13">
        <v>17</v>
      </c>
    </row>
  </sheetData>
  <pageMargins left="0.7" right="0.7" top="0.75" bottom="0.75" header="0.3" footer="0.3"/>
  <pageSetup paperSize="9" orientation="landscape" horizontalDpi="0" verticalDpi="0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F2E81-E605-4C1A-8EC2-983924938B09}">
  <dimension ref="A2:I12"/>
  <sheetViews>
    <sheetView workbookViewId="0">
      <selection activeCell="E19" sqref="E19"/>
    </sheetView>
  </sheetViews>
  <sheetFormatPr baseColWidth="10" defaultColWidth="8.83203125" defaultRowHeight="15" x14ac:dyDescent="0.2"/>
  <cols>
    <col min="1" max="1" width="10.33203125" customWidth="1"/>
    <col min="2" max="2" width="22.33203125" customWidth="1"/>
    <col min="3" max="3" width="12" bestFit="1" customWidth="1"/>
    <col min="4" max="4" width="9.33203125" bestFit="1" customWidth="1"/>
    <col min="5" max="5" width="13.1640625" bestFit="1" customWidth="1"/>
    <col min="6" max="6" width="11" customWidth="1"/>
    <col min="7" max="7" width="19.6640625" customWidth="1"/>
    <col min="8" max="8" width="18.5" customWidth="1"/>
  </cols>
  <sheetData>
    <row r="2" spans="1:9" ht="20" thickBot="1" x14ac:dyDescent="0.3">
      <c r="A2" s="163" t="s">
        <v>46</v>
      </c>
      <c r="B2" s="163"/>
      <c r="C2" s="163"/>
      <c r="D2" s="163"/>
      <c r="E2" s="163"/>
      <c r="F2" s="163"/>
      <c r="G2" s="163"/>
      <c r="H2" s="163"/>
    </row>
    <row r="3" spans="1:9" ht="35" thickBot="1" x14ac:dyDescent="0.25">
      <c r="A3" s="27"/>
      <c r="B3" s="28" t="s">
        <v>28</v>
      </c>
      <c r="C3" s="28" t="s">
        <v>29</v>
      </c>
      <c r="D3" s="28" t="s">
        <v>30</v>
      </c>
      <c r="E3" s="28" t="s">
        <v>31</v>
      </c>
      <c r="F3" s="28" t="s">
        <v>32</v>
      </c>
      <c r="G3" s="28" t="s">
        <v>45</v>
      </c>
      <c r="H3" s="28" t="s">
        <v>47</v>
      </c>
    </row>
    <row r="4" spans="1:9" ht="18" thickBot="1" x14ac:dyDescent="0.25">
      <c r="A4" s="106" t="s">
        <v>33</v>
      </c>
      <c r="B4" s="32" t="s">
        <v>34</v>
      </c>
      <c r="C4" s="33" t="s">
        <v>36</v>
      </c>
      <c r="D4" s="33">
        <v>832.99</v>
      </c>
      <c r="E4" s="33">
        <v>128.19999999999999</v>
      </c>
      <c r="F4" s="33">
        <v>23.9</v>
      </c>
      <c r="G4" s="33">
        <v>113.3</v>
      </c>
      <c r="H4" s="112">
        <f>(G4*65+G5*205)/(65+205)</f>
        <v>112.61666666666666</v>
      </c>
    </row>
    <row r="5" spans="1:9" ht="18" thickBot="1" x14ac:dyDescent="0.25">
      <c r="A5" s="107"/>
      <c r="B5" s="32" t="s">
        <v>35</v>
      </c>
      <c r="C5" s="33" t="s">
        <v>37</v>
      </c>
      <c r="D5" s="33">
        <v>2505.87</v>
      </c>
      <c r="E5" s="33">
        <v>122.2</v>
      </c>
      <c r="F5" s="33">
        <v>20.9</v>
      </c>
      <c r="G5" s="33">
        <v>112.4</v>
      </c>
      <c r="H5" s="113"/>
    </row>
    <row r="6" spans="1:9" ht="18" hidden="1" thickBot="1" x14ac:dyDescent="0.25">
      <c r="A6" s="108"/>
      <c r="B6" s="34"/>
      <c r="C6" s="33" t="s">
        <v>38</v>
      </c>
      <c r="D6" s="33">
        <v>1689.26</v>
      </c>
      <c r="E6" s="33">
        <v>113.4</v>
      </c>
      <c r="F6" s="33">
        <v>22.3</v>
      </c>
      <c r="G6" s="33">
        <v>102.4</v>
      </c>
      <c r="H6" s="36"/>
    </row>
    <row r="7" spans="1:9" ht="18" hidden="1" thickBot="1" x14ac:dyDescent="0.25">
      <c r="A7" s="109" t="s">
        <v>39</v>
      </c>
      <c r="B7" s="109" t="s">
        <v>40</v>
      </c>
      <c r="C7" s="31" t="s">
        <v>41</v>
      </c>
      <c r="D7" s="31">
        <v>661.34</v>
      </c>
      <c r="E7" s="31">
        <v>124.8</v>
      </c>
      <c r="F7" s="31">
        <v>19.899999999999999</v>
      </c>
      <c r="G7" s="31">
        <v>116.2</v>
      </c>
      <c r="H7" s="29"/>
    </row>
    <row r="8" spans="1:9" ht="18" hidden="1" thickBot="1" x14ac:dyDescent="0.25">
      <c r="A8" s="110"/>
      <c r="B8" s="110"/>
      <c r="C8" s="31" t="s">
        <v>42</v>
      </c>
      <c r="D8" s="31">
        <v>223.7</v>
      </c>
      <c r="E8" s="31">
        <v>131.6</v>
      </c>
      <c r="F8" s="31">
        <v>18.55</v>
      </c>
      <c r="G8" s="31">
        <v>124.6</v>
      </c>
      <c r="H8" s="29"/>
    </row>
    <row r="9" spans="1:9" ht="18" thickBot="1" x14ac:dyDescent="0.25">
      <c r="A9" s="110"/>
      <c r="B9" s="110"/>
      <c r="C9" s="31" t="s">
        <v>43</v>
      </c>
      <c r="D9" s="31">
        <v>1445.77</v>
      </c>
      <c r="E9" s="31">
        <v>115.7</v>
      </c>
      <c r="F9" s="31">
        <v>23.64</v>
      </c>
      <c r="G9" s="31">
        <v>102.7</v>
      </c>
      <c r="H9" s="114">
        <f>(G9*125+G10*120)/(125+120)</f>
        <v>109.70408163265306</v>
      </c>
      <c r="I9" s="35"/>
    </row>
    <row r="10" spans="1:9" ht="18" thickBot="1" x14ac:dyDescent="0.25">
      <c r="A10" s="111"/>
      <c r="B10" s="111"/>
      <c r="C10" s="31" t="s">
        <v>44</v>
      </c>
      <c r="D10" s="31">
        <v>1525.93</v>
      </c>
      <c r="E10" s="31">
        <v>127.2</v>
      </c>
      <c r="F10" s="31">
        <v>20.85</v>
      </c>
      <c r="G10" s="31">
        <v>117</v>
      </c>
      <c r="H10" s="115"/>
    </row>
    <row r="12" spans="1:9" x14ac:dyDescent="0.2">
      <c r="A12" t="s">
        <v>77</v>
      </c>
    </row>
  </sheetData>
  <mergeCells count="6">
    <mergeCell ref="A2:H2"/>
    <mergeCell ref="A4:A6"/>
    <mergeCell ref="A7:A10"/>
    <mergeCell ref="B7:B10"/>
    <mergeCell ref="H4:H5"/>
    <mergeCell ref="H9:H10"/>
  </mergeCells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1F76D-0022-4688-B8A0-179BE45AECA0}">
  <dimension ref="A1:G15"/>
  <sheetViews>
    <sheetView workbookViewId="0">
      <selection activeCell="D10" sqref="D10:D11"/>
    </sheetView>
  </sheetViews>
  <sheetFormatPr baseColWidth="10" defaultColWidth="8.83203125" defaultRowHeight="15" x14ac:dyDescent="0.2"/>
  <cols>
    <col min="1" max="1" width="15.5" bestFit="1" customWidth="1"/>
    <col min="2" max="2" width="14.5" bestFit="1" customWidth="1"/>
    <col min="3" max="3" width="12" bestFit="1" customWidth="1"/>
    <col min="4" max="4" width="14" bestFit="1" customWidth="1"/>
    <col min="5" max="5" width="17.5" bestFit="1" customWidth="1"/>
    <col min="6" max="6" width="11.83203125" bestFit="1" customWidth="1"/>
    <col min="7" max="7" width="17.33203125" bestFit="1" customWidth="1"/>
  </cols>
  <sheetData>
    <row r="1" spans="1:7" ht="16" thickBot="1" x14ac:dyDescent="0.25"/>
    <row r="2" spans="1:7" ht="52" thickBot="1" x14ac:dyDescent="0.25">
      <c r="A2" s="69" t="s">
        <v>48</v>
      </c>
      <c r="B2" s="39" t="s">
        <v>28</v>
      </c>
      <c r="C2" s="39" t="s">
        <v>14</v>
      </c>
      <c r="D2" s="39" t="s">
        <v>30</v>
      </c>
      <c r="E2" s="49" t="s">
        <v>49</v>
      </c>
      <c r="F2" s="70" t="s">
        <v>80</v>
      </c>
      <c r="G2" s="71" t="s">
        <v>85</v>
      </c>
    </row>
    <row r="3" spans="1:7" ht="17" x14ac:dyDescent="0.2">
      <c r="A3" s="150" t="s">
        <v>50</v>
      </c>
      <c r="B3" s="72" t="s">
        <v>51</v>
      </c>
      <c r="C3" s="109">
        <v>11</v>
      </c>
      <c r="D3" s="109">
        <v>101.46</v>
      </c>
      <c r="E3" s="130">
        <v>92.2</v>
      </c>
      <c r="F3" s="116">
        <f>0.3*C14</f>
        <v>2598.36</v>
      </c>
      <c r="G3" s="123"/>
    </row>
    <row r="4" spans="1:7" ht="18" thickBot="1" x14ac:dyDescent="0.25">
      <c r="A4" s="151" t="s">
        <v>59</v>
      </c>
      <c r="B4" s="31" t="s">
        <v>52</v>
      </c>
      <c r="C4" s="111"/>
      <c r="D4" s="111"/>
      <c r="E4" s="131"/>
      <c r="F4" s="117"/>
      <c r="G4" s="124"/>
    </row>
    <row r="5" spans="1:7" ht="17" x14ac:dyDescent="0.2">
      <c r="A5" s="150" t="s">
        <v>50</v>
      </c>
      <c r="B5" s="30" t="s">
        <v>51</v>
      </c>
      <c r="C5" s="110">
        <v>27</v>
      </c>
      <c r="D5" s="110">
        <v>346.48</v>
      </c>
      <c r="E5" s="132">
        <v>128.30000000000001</v>
      </c>
      <c r="F5" s="118">
        <f>0.15*D14</f>
        <v>567</v>
      </c>
      <c r="G5" s="125">
        <f>($E$5-E3)/10*$B$15-(F5-$F$3)</f>
        <v>34521.360000000008</v>
      </c>
    </row>
    <row r="6" spans="1:7" ht="18" thickBot="1" x14ac:dyDescent="0.25">
      <c r="A6" s="152" t="s">
        <v>53</v>
      </c>
      <c r="B6" s="30" t="s">
        <v>54</v>
      </c>
      <c r="C6" s="110"/>
      <c r="D6" s="110"/>
      <c r="E6" s="132"/>
      <c r="F6" s="119"/>
      <c r="G6" s="126"/>
    </row>
    <row r="7" spans="1:7" ht="17" x14ac:dyDescent="0.2">
      <c r="A7" s="150" t="s">
        <v>50</v>
      </c>
      <c r="B7" s="72" t="s">
        <v>51</v>
      </c>
      <c r="C7" s="109">
        <v>27</v>
      </c>
      <c r="D7" s="109">
        <v>339.49</v>
      </c>
      <c r="E7" s="133">
        <v>125.7</v>
      </c>
      <c r="F7" s="120">
        <f>0.1*E14+F14*0.32</f>
        <v>686.40000000000009</v>
      </c>
      <c r="G7" s="127">
        <f>($E$7-E3)/10*$B$15-(F7-$F$3)</f>
        <v>32061.96</v>
      </c>
    </row>
    <row r="8" spans="1:7" ht="17" x14ac:dyDescent="0.2">
      <c r="A8" s="153" t="s">
        <v>55</v>
      </c>
      <c r="B8" s="30" t="s">
        <v>56</v>
      </c>
      <c r="C8" s="110"/>
      <c r="D8" s="110"/>
      <c r="E8" s="132"/>
      <c r="F8" s="121"/>
      <c r="G8" s="128"/>
    </row>
    <row r="9" spans="1:7" ht="18" thickBot="1" x14ac:dyDescent="0.25">
      <c r="A9" s="151" t="s">
        <v>60</v>
      </c>
      <c r="B9" s="31" t="s">
        <v>57</v>
      </c>
      <c r="C9" s="111"/>
      <c r="D9" s="111"/>
      <c r="E9" s="134"/>
      <c r="F9" s="122"/>
      <c r="G9" s="129"/>
    </row>
    <row r="10" spans="1:7" ht="17" x14ac:dyDescent="0.2">
      <c r="A10" s="150" t="s">
        <v>50</v>
      </c>
      <c r="B10" s="30" t="s">
        <v>51</v>
      </c>
      <c r="C10" s="110">
        <v>77</v>
      </c>
      <c r="D10" s="110">
        <v>967.79</v>
      </c>
      <c r="E10" s="132">
        <v>125.7</v>
      </c>
      <c r="F10" s="154">
        <f>0.32*F14</f>
        <v>422.40000000000003</v>
      </c>
      <c r="G10" s="156">
        <f>($E$5-E8)/10*$B$15-(F10-$F$3)</f>
        <v>117645.96000000002</v>
      </c>
    </row>
    <row r="11" spans="1:7" ht="18" thickBot="1" x14ac:dyDescent="0.25">
      <c r="A11" s="151" t="s">
        <v>58</v>
      </c>
      <c r="B11" s="31" t="s">
        <v>57</v>
      </c>
      <c r="C11" s="111"/>
      <c r="D11" s="111"/>
      <c r="E11" s="134"/>
      <c r="F11" s="155"/>
      <c r="G11" s="157"/>
    </row>
    <row r="13" spans="1:7" ht="17" x14ac:dyDescent="0.2">
      <c r="A13" s="135"/>
      <c r="B13" s="162" t="s">
        <v>50</v>
      </c>
      <c r="C13" s="67" t="s">
        <v>81</v>
      </c>
      <c r="D13" s="67" t="s">
        <v>53</v>
      </c>
      <c r="E13" s="67" t="s">
        <v>55</v>
      </c>
      <c r="F13" s="67" t="s">
        <v>82</v>
      </c>
    </row>
    <row r="14" spans="1:7" x14ac:dyDescent="0.2">
      <c r="A14" s="148" t="s">
        <v>83</v>
      </c>
      <c r="B14" s="67">
        <v>3260</v>
      </c>
      <c r="C14" s="159">
        <v>8661.2000000000007</v>
      </c>
      <c r="D14" s="159">
        <v>3780</v>
      </c>
      <c r="E14" s="159">
        <v>2640</v>
      </c>
      <c r="F14" s="159">
        <v>1320</v>
      </c>
    </row>
    <row r="15" spans="1:7" x14ac:dyDescent="0.2">
      <c r="A15" s="1" t="s">
        <v>84</v>
      </c>
      <c r="B15" s="158">
        <v>9000</v>
      </c>
      <c r="C15" s="160"/>
      <c r="D15" s="161"/>
      <c r="E15" s="161"/>
      <c r="F15" s="161"/>
    </row>
  </sheetData>
  <mergeCells count="20">
    <mergeCell ref="C7:C9"/>
    <mergeCell ref="D7:D9"/>
    <mergeCell ref="E7:E9"/>
    <mergeCell ref="C10:C11"/>
    <mergeCell ref="D10:D11"/>
    <mergeCell ref="E10:E11"/>
    <mergeCell ref="C3:C4"/>
    <mergeCell ref="D3:D4"/>
    <mergeCell ref="E3:E4"/>
    <mergeCell ref="C5:C6"/>
    <mergeCell ref="D5:D6"/>
    <mergeCell ref="E5:E6"/>
    <mergeCell ref="F3:F4"/>
    <mergeCell ref="F5:F6"/>
    <mergeCell ref="F7:F9"/>
    <mergeCell ref="F10:F11"/>
    <mergeCell ref="G3:G4"/>
    <mergeCell ref="G5:G6"/>
    <mergeCell ref="G7:G9"/>
    <mergeCell ref="G10:G11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4166E-431F-491E-A60B-BA62EEFFC734}">
  <dimension ref="A1:D9"/>
  <sheetViews>
    <sheetView workbookViewId="0">
      <selection activeCell="D13" sqref="D13"/>
    </sheetView>
  </sheetViews>
  <sheetFormatPr baseColWidth="10" defaultColWidth="8.83203125" defaultRowHeight="15" x14ac:dyDescent="0.2"/>
  <cols>
    <col min="1" max="3" width="23.33203125" customWidth="1"/>
    <col min="4" max="4" width="33.1640625" customWidth="1"/>
  </cols>
  <sheetData>
    <row r="1" spans="1:4" ht="17" thickBot="1" x14ac:dyDescent="0.25">
      <c r="A1" s="138" t="s">
        <v>62</v>
      </c>
      <c r="B1" s="138"/>
      <c r="C1" s="138"/>
      <c r="D1" s="138"/>
    </row>
    <row r="2" spans="1:4" ht="35" thickBot="1" x14ac:dyDescent="0.25">
      <c r="A2" s="41" t="s">
        <v>48</v>
      </c>
      <c r="B2" s="44" t="s">
        <v>14</v>
      </c>
      <c r="C2" s="49" t="s">
        <v>63</v>
      </c>
      <c r="D2" s="44" t="s">
        <v>49</v>
      </c>
    </row>
    <row r="3" spans="1:4" ht="17" x14ac:dyDescent="0.2">
      <c r="A3" s="42" t="s">
        <v>61</v>
      </c>
      <c r="B3" s="45">
        <v>30</v>
      </c>
      <c r="C3" s="50">
        <v>214.81</v>
      </c>
      <c r="D3" s="52">
        <f>C3/B3*10</f>
        <v>71.603333333333325</v>
      </c>
    </row>
    <row r="4" spans="1:4" ht="18" thickBot="1" x14ac:dyDescent="0.25">
      <c r="A4" s="43" t="s">
        <v>39</v>
      </c>
      <c r="B4" s="46">
        <v>83</v>
      </c>
      <c r="C4" s="51">
        <v>618.86</v>
      </c>
      <c r="D4" s="53">
        <f>C4/B4*10</f>
        <v>74.561445783132541</v>
      </c>
    </row>
    <row r="5" spans="1:4" ht="16" x14ac:dyDescent="0.2">
      <c r="A5" s="37"/>
    </row>
    <row r="6" spans="1:4" ht="17" thickBot="1" x14ac:dyDescent="0.25">
      <c r="A6" s="138" t="s">
        <v>64</v>
      </c>
      <c r="B6" s="138"/>
      <c r="C6" s="138"/>
      <c r="D6" s="138"/>
    </row>
    <row r="7" spans="1:4" ht="35" thickBot="1" x14ac:dyDescent="0.25">
      <c r="A7" s="41" t="s">
        <v>48</v>
      </c>
      <c r="B7" s="44" t="s">
        <v>14</v>
      </c>
      <c r="C7" s="44" t="s">
        <v>63</v>
      </c>
      <c r="D7" s="39" t="s">
        <v>49</v>
      </c>
    </row>
    <row r="8" spans="1:4" ht="17" x14ac:dyDescent="0.2">
      <c r="A8" s="42" t="s">
        <v>61</v>
      </c>
      <c r="B8" s="45">
        <v>35</v>
      </c>
      <c r="C8" s="45">
        <v>429.56</v>
      </c>
      <c r="D8" s="47">
        <f>C8/B8*10</f>
        <v>122.73142857142858</v>
      </c>
    </row>
    <row r="9" spans="1:4" ht="18" thickBot="1" x14ac:dyDescent="0.25">
      <c r="A9" s="43" t="s">
        <v>39</v>
      </c>
      <c r="B9" s="46">
        <v>5</v>
      </c>
      <c r="C9" s="46">
        <v>67.67</v>
      </c>
      <c r="D9" s="48">
        <f>C9/B9*10</f>
        <v>135.34</v>
      </c>
    </row>
  </sheetData>
  <mergeCells count="2">
    <mergeCell ref="A1:D1"/>
    <mergeCell ref="A6:D6"/>
  </mergeCells>
  <pageMargins left="0.7" right="0.7" top="0.75" bottom="0.75" header="0.3" footer="0.3"/>
  <pageSetup paperSize="9"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B52B9-CAA0-4BC0-B5BD-441567801303}">
  <dimension ref="A2:E17"/>
  <sheetViews>
    <sheetView zoomScaleNormal="100" workbookViewId="0">
      <selection activeCell="D16" sqref="D16"/>
    </sheetView>
  </sheetViews>
  <sheetFormatPr baseColWidth="10" defaultColWidth="8.83203125" defaultRowHeight="15" x14ac:dyDescent="0.2"/>
  <cols>
    <col min="1" max="1" width="22.1640625" customWidth="1"/>
    <col min="2" max="2" width="15.5" customWidth="1"/>
    <col min="3" max="3" width="19.1640625" customWidth="1"/>
    <col min="4" max="4" width="22.1640625" customWidth="1"/>
    <col min="5" max="5" width="30.33203125" customWidth="1"/>
  </cols>
  <sheetData>
    <row r="2" spans="1:5" ht="16" x14ac:dyDescent="0.2">
      <c r="A2" s="38" t="s">
        <v>65</v>
      </c>
    </row>
    <row r="3" spans="1:5" ht="17" x14ac:dyDescent="0.2">
      <c r="A3" s="56" t="s">
        <v>48</v>
      </c>
      <c r="B3" s="57" t="s">
        <v>14</v>
      </c>
      <c r="C3" s="57" t="s">
        <v>63</v>
      </c>
      <c r="D3" s="57" t="s">
        <v>49</v>
      </c>
      <c r="E3" s="58" t="s">
        <v>76</v>
      </c>
    </row>
    <row r="4" spans="1:5" ht="34" x14ac:dyDescent="0.2">
      <c r="A4" s="55" t="s">
        <v>73</v>
      </c>
      <c r="B4" s="40">
        <v>16.2</v>
      </c>
      <c r="C4" s="40">
        <v>187.98</v>
      </c>
      <c r="D4" s="40">
        <v>116</v>
      </c>
      <c r="E4" s="63">
        <f>D12*(D4-D5)/10-(E11-E10)</f>
        <v>1369.0476190476143</v>
      </c>
    </row>
    <row r="5" spans="1:5" ht="34" x14ac:dyDescent="0.2">
      <c r="A5" s="59" t="s">
        <v>74</v>
      </c>
      <c r="B5" s="60">
        <v>81</v>
      </c>
      <c r="C5" s="60">
        <v>912.74</v>
      </c>
      <c r="D5" s="60">
        <v>112.4</v>
      </c>
      <c r="E5" s="64"/>
    </row>
    <row r="6" spans="1:5" ht="17" x14ac:dyDescent="0.2">
      <c r="A6" s="59" t="s">
        <v>78</v>
      </c>
      <c r="B6" s="60"/>
      <c r="C6" s="60"/>
      <c r="D6" s="65">
        <f>(D4-D5)/D5</f>
        <v>3.2028469750889625E-2</v>
      </c>
      <c r="E6" s="64">
        <f>D14*(D6-D7)/10-(E13-E12)</f>
        <v>0</v>
      </c>
    </row>
    <row r="9" spans="1:5" x14ac:dyDescent="0.2">
      <c r="A9" s="142"/>
      <c r="B9" s="143" t="s">
        <v>70</v>
      </c>
      <c r="C9" s="143" t="s">
        <v>71</v>
      </c>
      <c r="D9" s="143" t="s">
        <v>72</v>
      </c>
      <c r="E9" s="143" t="s">
        <v>79</v>
      </c>
    </row>
    <row r="10" spans="1:5" ht="17" x14ac:dyDescent="0.2">
      <c r="A10" s="144" t="s">
        <v>68</v>
      </c>
      <c r="B10" s="145">
        <v>200</v>
      </c>
      <c r="C10" s="145">
        <v>34</v>
      </c>
      <c r="D10" s="145">
        <v>13150</v>
      </c>
      <c r="E10" s="145">
        <f>D10/1000*B10</f>
        <v>2630</v>
      </c>
    </row>
    <row r="11" spans="1:5" ht="17" x14ac:dyDescent="0.2">
      <c r="A11" s="144" t="s">
        <v>66</v>
      </c>
      <c r="B11" s="146">
        <f>B10*C10/100/0.21</f>
        <v>323.8095238095238</v>
      </c>
      <c r="C11" s="145">
        <v>21</v>
      </c>
      <c r="D11" s="145">
        <v>13900</v>
      </c>
      <c r="E11" s="146">
        <f>D11/1000*B11</f>
        <v>4500.9523809523807</v>
      </c>
    </row>
    <row r="12" spans="1:5" ht="17" x14ac:dyDescent="0.2">
      <c r="A12" s="144" t="s">
        <v>75</v>
      </c>
      <c r="B12" s="145"/>
      <c r="C12" s="145"/>
      <c r="D12" s="145">
        <v>9000</v>
      </c>
      <c r="E12" s="145"/>
    </row>
    <row r="13" spans="1:5" ht="16" x14ac:dyDescent="0.2">
      <c r="A13" s="54"/>
    </row>
    <row r="14" spans="1:5" ht="17" customHeight="1" x14ac:dyDescent="0.2">
      <c r="A14" s="149" t="s">
        <v>69</v>
      </c>
      <c r="B14" s="149"/>
      <c r="C14" s="149"/>
    </row>
    <row r="15" spans="1:5" ht="17" x14ac:dyDescent="0.2">
      <c r="A15" s="147" t="s">
        <v>67</v>
      </c>
      <c r="B15" s="148">
        <v>150</v>
      </c>
      <c r="C15" s="148" t="s">
        <v>128</v>
      </c>
    </row>
    <row r="16" spans="1:5" ht="17" x14ac:dyDescent="0.2">
      <c r="A16" s="147" t="s">
        <v>126</v>
      </c>
      <c r="B16" s="1">
        <v>200</v>
      </c>
      <c r="C16" s="1" t="s">
        <v>127</v>
      </c>
    </row>
    <row r="17" spans="1:1" ht="16" x14ac:dyDescent="0.2">
      <c r="A17" s="54"/>
    </row>
  </sheetData>
  <mergeCells count="1">
    <mergeCell ref="A14:C14"/>
  </mergeCells>
  <pageMargins left="0.7" right="0.7" top="0.75" bottom="0.75" header="0.3" footer="0.3"/>
  <pageSetup paperSize="9" scale="86" orientation="landscape" horizontalDpi="0" verticalDpi="0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394F6-B755-4DCB-B73A-EE7ADC46876E}">
  <dimension ref="A1:J22"/>
  <sheetViews>
    <sheetView topLeftCell="A14" zoomScale="108" zoomScaleNormal="108" zoomScaleSheetLayoutView="93" workbookViewId="0">
      <selection activeCell="G26" sqref="G26"/>
    </sheetView>
  </sheetViews>
  <sheetFormatPr baseColWidth="10" defaultColWidth="8.83203125" defaultRowHeight="15" x14ac:dyDescent="0.2"/>
  <cols>
    <col min="1" max="1" width="22.6640625" customWidth="1"/>
    <col min="2" max="2" width="15.6640625" customWidth="1"/>
    <col min="3" max="3" width="14" customWidth="1"/>
    <col min="4" max="4" width="16" customWidth="1"/>
    <col min="5" max="5" width="11.1640625" customWidth="1"/>
    <col min="6" max="6" width="13.6640625" customWidth="1"/>
    <col min="7" max="7" width="11.6640625" customWidth="1"/>
    <col min="8" max="8" width="15.5" customWidth="1"/>
    <col min="9" max="9" width="5.83203125" customWidth="1"/>
    <col min="10" max="10" width="5.5" customWidth="1"/>
  </cols>
  <sheetData>
    <row r="1" spans="1:10" ht="17" thickBot="1" x14ac:dyDescent="0.25">
      <c r="A1" s="138" t="s">
        <v>86</v>
      </c>
      <c r="B1" s="138"/>
      <c r="C1" s="138"/>
      <c r="D1" s="138"/>
      <c r="E1" s="138"/>
      <c r="F1" s="138"/>
      <c r="G1" s="138"/>
      <c r="H1" s="138"/>
    </row>
    <row r="2" spans="1:10" ht="52" thickBot="1" x14ac:dyDescent="0.25">
      <c r="A2" s="96" t="s">
        <v>95</v>
      </c>
      <c r="B2" s="70" t="s">
        <v>114</v>
      </c>
      <c r="C2" s="70" t="s">
        <v>115</v>
      </c>
      <c r="D2" s="70" t="s">
        <v>14</v>
      </c>
      <c r="E2" s="70" t="s">
        <v>30</v>
      </c>
      <c r="F2" s="70" t="s">
        <v>96</v>
      </c>
      <c r="G2" s="70" t="s">
        <v>97</v>
      </c>
      <c r="H2" s="71" t="s">
        <v>119</v>
      </c>
    </row>
    <row r="3" spans="1:10" ht="17" x14ac:dyDescent="0.2">
      <c r="A3" s="87" t="s">
        <v>23</v>
      </c>
      <c r="B3" s="97"/>
      <c r="C3" s="97"/>
      <c r="D3" s="97">
        <v>147</v>
      </c>
      <c r="E3" s="97">
        <v>724.7</v>
      </c>
      <c r="F3" s="98">
        <f>E3/D3</f>
        <v>4.9299319727891158</v>
      </c>
      <c r="G3" s="7"/>
      <c r="H3" s="99"/>
    </row>
    <row r="4" spans="1:10" ht="35" thickBot="1" x14ac:dyDescent="0.25">
      <c r="A4" s="83" t="s">
        <v>111</v>
      </c>
      <c r="B4" s="92" t="s">
        <v>113</v>
      </c>
      <c r="C4" s="92" t="s">
        <v>112</v>
      </c>
      <c r="D4" s="92">
        <v>23</v>
      </c>
      <c r="E4" s="92">
        <v>110.7</v>
      </c>
      <c r="F4" s="93">
        <f>E4/D4</f>
        <v>4.8130434782608695</v>
      </c>
      <c r="G4" s="94">
        <f>2*E13/5+4*E13</f>
        <v>1533.8400000000001</v>
      </c>
      <c r="H4" s="95">
        <f>(F4-F3)*15000-G4</f>
        <v>-3287.1674179236934</v>
      </c>
    </row>
    <row r="5" spans="1:10" ht="16" x14ac:dyDescent="0.2">
      <c r="F5" s="105" t="s">
        <v>125</v>
      </c>
      <c r="H5" s="12"/>
    </row>
    <row r="6" spans="1:10" ht="18" thickBot="1" x14ac:dyDescent="0.25">
      <c r="A6" s="74" t="s">
        <v>94</v>
      </c>
      <c r="H6" s="12"/>
    </row>
    <row r="7" spans="1:10" ht="18" thickBot="1" x14ac:dyDescent="0.25">
      <c r="A7" s="85" t="s">
        <v>87</v>
      </c>
      <c r="B7" s="86" t="s">
        <v>88</v>
      </c>
      <c r="D7" s="89" t="s">
        <v>95</v>
      </c>
      <c r="E7" s="66"/>
    </row>
    <row r="8" spans="1:10" ht="17" x14ac:dyDescent="0.2">
      <c r="A8" s="87" t="s">
        <v>89</v>
      </c>
      <c r="B8" s="88" t="s">
        <v>93</v>
      </c>
      <c r="D8" s="91" t="s">
        <v>116</v>
      </c>
      <c r="E8" s="66"/>
    </row>
    <row r="9" spans="1:10" ht="18" thickBot="1" x14ac:dyDescent="0.25">
      <c r="A9" s="80" t="s">
        <v>90</v>
      </c>
      <c r="B9" s="81" t="s">
        <v>92</v>
      </c>
      <c r="D9" s="90" t="s">
        <v>117</v>
      </c>
    </row>
    <row r="10" spans="1:10" ht="17" x14ac:dyDescent="0.2">
      <c r="A10" s="80" t="s">
        <v>91</v>
      </c>
      <c r="B10" s="82"/>
    </row>
    <row r="11" spans="1:10" ht="18" thickBot="1" x14ac:dyDescent="0.25">
      <c r="A11" s="83" t="s">
        <v>92</v>
      </c>
      <c r="B11" s="84"/>
    </row>
    <row r="12" spans="1:10" ht="16" thickBot="1" x14ac:dyDescent="0.25"/>
    <row r="13" spans="1:10" ht="18" thickBot="1" x14ac:dyDescent="0.25">
      <c r="A13" s="139" t="s">
        <v>98</v>
      </c>
      <c r="B13" s="139"/>
      <c r="C13" s="139"/>
      <c r="D13" s="104" t="s">
        <v>83</v>
      </c>
      <c r="E13" s="104">
        <v>348.6</v>
      </c>
      <c r="F13" s="77"/>
      <c r="G13" s="78" t="s">
        <v>99</v>
      </c>
      <c r="H13" s="79">
        <v>2.4</v>
      </c>
      <c r="I13" s="77"/>
      <c r="J13" s="77"/>
    </row>
    <row r="14" spans="1:10" ht="20" thickBot="1" x14ac:dyDescent="0.25">
      <c r="A14" s="141"/>
      <c r="B14" s="140"/>
      <c r="C14" s="140"/>
      <c r="G14" s="78" t="s">
        <v>109</v>
      </c>
      <c r="H14" s="79">
        <v>211</v>
      </c>
    </row>
    <row r="15" spans="1:10" ht="20" thickBot="1" x14ac:dyDescent="0.25">
      <c r="G15" s="78" t="s">
        <v>110</v>
      </c>
      <c r="H15" s="79">
        <v>96</v>
      </c>
    </row>
    <row r="16" spans="1:10" ht="18" thickBot="1" x14ac:dyDescent="0.25">
      <c r="G16" s="78" t="s">
        <v>102</v>
      </c>
      <c r="H16" s="79">
        <v>11.7</v>
      </c>
    </row>
    <row r="17" spans="7:8" ht="18" thickBot="1" x14ac:dyDescent="0.25">
      <c r="G17" s="78" t="s">
        <v>103</v>
      </c>
      <c r="H17" s="79">
        <v>15</v>
      </c>
    </row>
    <row r="18" spans="7:8" ht="18" thickBot="1" x14ac:dyDescent="0.25">
      <c r="G18" s="78" t="s">
        <v>104</v>
      </c>
      <c r="H18" s="79">
        <v>20</v>
      </c>
    </row>
    <row r="19" spans="7:8" ht="18" thickBot="1" x14ac:dyDescent="0.25">
      <c r="G19" s="78" t="s">
        <v>105</v>
      </c>
      <c r="H19" s="79">
        <v>5</v>
      </c>
    </row>
    <row r="20" spans="7:8" ht="18" thickBot="1" x14ac:dyDescent="0.25">
      <c r="G20" s="78" t="s">
        <v>106</v>
      </c>
      <c r="H20" s="79">
        <v>4.5</v>
      </c>
    </row>
    <row r="21" spans="7:8" ht="18" thickBot="1" x14ac:dyDescent="0.25">
      <c r="G21" s="78" t="s">
        <v>107</v>
      </c>
      <c r="H21" s="79">
        <v>0.15</v>
      </c>
    </row>
    <row r="22" spans="7:8" ht="18" thickBot="1" x14ac:dyDescent="0.25">
      <c r="G22" s="78" t="s">
        <v>108</v>
      </c>
      <c r="H22" s="79">
        <v>0.05</v>
      </c>
    </row>
  </sheetData>
  <mergeCells count="2">
    <mergeCell ref="A13:C13"/>
    <mergeCell ref="A1:H1"/>
  </mergeCells>
  <pageMargins left="0.7" right="0.7" top="0.75" bottom="0.75" header="0.3" footer="0.3"/>
  <pageSetup paperSize="9" scale="66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4191D-0E84-42D0-A4FD-59057538593F}">
  <dimension ref="A1:J9"/>
  <sheetViews>
    <sheetView topLeftCell="A2" zoomScaleNormal="100" zoomScaleSheetLayoutView="83" workbookViewId="0">
      <selection activeCell="E20" sqref="E20"/>
    </sheetView>
  </sheetViews>
  <sheetFormatPr baseColWidth="10" defaultColWidth="19.5" defaultRowHeight="15" x14ac:dyDescent="0.2"/>
  <cols>
    <col min="1" max="1" width="20" bestFit="1" customWidth="1"/>
    <col min="2" max="2" width="15.5" customWidth="1"/>
    <col min="3" max="3" width="9.5" customWidth="1"/>
    <col min="4" max="4" width="13.1640625" customWidth="1"/>
    <col min="5" max="5" width="14" customWidth="1"/>
    <col min="6" max="6" width="12.5" customWidth="1"/>
    <col min="7" max="7" width="15.6640625" customWidth="1"/>
    <col min="8" max="8" width="4.6640625" customWidth="1"/>
    <col min="9" max="9" width="5.5" customWidth="1"/>
    <col min="10" max="10" width="5" customWidth="1"/>
  </cols>
  <sheetData>
    <row r="1" spans="1:10" ht="17" thickBot="1" x14ac:dyDescent="0.25">
      <c r="A1" s="136" t="s">
        <v>118</v>
      </c>
      <c r="B1" s="136"/>
      <c r="C1" s="136"/>
      <c r="D1" s="136"/>
      <c r="E1" s="136"/>
      <c r="F1" s="136"/>
      <c r="G1" s="136"/>
    </row>
    <row r="2" spans="1:10" ht="52" thickBot="1" x14ac:dyDescent="0.25">
      <c r="A2" s="85" t="s">
        <v>48</v>
      </c>
      <c r="B2" s="70" t="s">
        <v>123</v>
      </c>
      <c r="C2" s="70" t="s">
        <v>14</v>
      </c>
      <c r="D2" s="70" t="s">
        <v>30</v>
      </c>
      <c r="E2" s="70" t="s">
        <v>49</v>
      </c>
      <c r="F2" s="70" t="s">
        <v>97</v>
      </c>
      <c r="G2" s="71" t="s">
        <v>119</v>
      </c>
    </row>
    <row r="3" spans="1:10" ht="17" x14ac:dyDescent="0.2">
      <c r="A3" s="87" t="s">
        <v>23</v>
      </c>
      <c r="B3" s="97"/>
      <c r="C3" s="97">
        <v>111</v>
      </c>
      <c r="D3" s="102">
        <v>1258.6300000000001</v>
      </c>
      <c r="E3" s="98">
        <f>D3/C3</f>
        <v>11.339009009009009</v>
      </c>
      <c r="F3" s="100"/>
      <c r="G3" s="73"/>
    </row>
    <row r="4" spans="1:10" ht="18" thickBot="1" x14ac:dyDescent="0.25">
      <c r="A4" s="83" t="s">
        <v>124</v>
      </c>
      <c r="B4" s="92">
        <v>3</v>
      </c>
      <c r="C4" s="92">
        <v>20.2</v>
      </c>
      <c r="D4" s="103">
        <v>238.17</v>
      </c>
      <c r="E4" s="93">
        <f>D4/C4</f>
        <v>11.79059405940594</v>
      </c>
      <c r="F4" s="101">
        <f>3*G7</f>
        <v>1128.03</v>
      </c>
      <c r="G4" s="68">
        <f>(E4-E3)*9000-'комплемет-кук'!F4</f>
        <v>2936.2354535723771</v>
      </c>
    </row>
    <row r="5" spans="1:10" ht="16" x14ac:dyDescent="0.2">
      <c r="E5" s="105" t="s">
        <v>125</v>
      </c>
    </row>
    <row r="7" spans="1:10" ht="17" thickBot="1" x14ac:dyDescent="0.25">
      <c r="A7" s="137" t="s">
        <v>120</v>
      </c>
      <c r="B7" s="137"/>
      <c r="C7" s="137"/>
      <c r="D7" s="137"/>
      <c r="E7" s="137"/>
      <c r="F7" s="13" t="s">
        <v>121</v>
      </c>
      <c r="G7" s="13">
        <v>376.01</v>
      </c>
      <c r="H7" s="13" t="s">
        <v>122</v>
      </c>
    </row>
    <row r="8" spans="1:10" ht="18" thickBot="1" x14ac:dyDescent="0.25">
      <c r="A8" s="75" t="s">
        <v>99</v>
      </c>
      <c r="B8" s="75" t="s">
        <v>100</v>
      </c>
      <c r="C8" s="75" t="s">
        <v>101</v>
      </c>
      <c r="D8" s="75" t="s">
        <v>102</v>
      </c>
      <c r="E8" s="75" t="s">
        <v>103</v>
      </c>
      <c r="F8" s="75" t="s">
        <v>104</v>
      </c>
      <c r="G8" s="75" t="s">
        <v>105</v>
      </c>
      <c r="H8" s="75" t="s">
        <v>106</v>
      </c>
      <c r="I8" s="75" t="s">
        <v>107</v>
      </c>
      <c r="J8" s="75" t="s">
        <v>108</v>
      </c>
    </row>
    <row r="9" spans="1:10" ht="16" thickBot="1" x14ac:dyDescent="0.25">
      <c r="A9" s="76">
        <v>1.2</v>
      </c>
      <c r="B9" s="76">
        <v>171</v>
      </c>
      <c r="C9" s="76">
        <v>97</v>
      </c>
      <c r="D9" s="76">
        <v>12.7</v>
      </c>
      <c r="E9" s="76">
        <v>30</v>
      </c>
      <c r="F9" s="76">
        <v>10</v>
      </c>
      <c r="G9" s="76">
        <v>2.5</v>
      </c>
      <c r="H9" s="76">
        <v>4</v>
      </c>
      <c r="I9" s="76">
        <v>0.15</v>
      </c>
      <c r="J9" s="76">
        <v>0.05</v>
      </c>
    </row>
  </sheetData>
  <mergeCells count="2">
    <mergeCell ref="A1:G1"/>
    <mergeCell ref="A7:E7"/>
  </mergeCells>
  <pageMargins left="0.7" right="0.7" top="0.75" bottom="0.75" header="0.3" footer="0.3"/>
  <pageSetup paperSize="9" scale="82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гибриды</vt:lpstr>
      <vt:lpstr>междуряд</vt:lpstr>
      <vt:lpstr>инсект-фунг</vt:lpstr>
      <vt:lpstr>август</vt:lpstr>
      <vt:lpstr>сульфат кальция</vt:lpstr>
      <vt:lpstr>сульфат аммония</vt:lpstr>
      <vt:lpstr>комплемет-зерно</vt:lpstr>
      <vt:lpstr>комплемет-кук</vt:lpstr>
      <vt:lpstr>'сульфат аммония'!Область_печати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2019-02-20T14:03:33Z</cp:lastPrinted>
  <dcterms:created xsi:type="dcterms:W3CDTF">2015-06-05T18:19:34Z</dcterms:created>
  <dcterms:modified xsi:type="dcterms:W3CDTF">2019-02-21T12:40:30Z</dcterms:modified>
</cp:coreProperties>
</file>